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ris\Desktop\"/>
    </mc:Choice>
  </mc:AlternateContent>
  <xr:revisionPtr revIDLastSave="0" documentId="13_ncr:1_{CACF0F62-A1DA-430F-9961-4B7DEC4B602C}" xr6:coauthVersionLast="47" xr6:coauthVersionMax="47" xr10:uidLastSave="{00000000-0000-0000-0000-000000000000}"/>
  <bookViews>
    <workbookView xWindow="-120" yWindow="-120" windowWidth="20730" windowHeight="11160" xr2:uid="{D9C45BF9-F9F4-47E9-A40D-8FEFA2EAC71C}"/>
  </bookViews>
  <sheets>
    <sheet name="Illustration P 12 &amp; 13" sheetId="1" r:id="rId1"/>
    <sheet name="Relation Prix-YTM P14" sheetId="4" r:id="rId2"/>
    <sheet name="CAS PRATIQUE PRIMAIRE" sheetId="3" r:id="rId3"/>
    <sheet name="CAS PRATIQUE SECONDAIRE" sheetId="2" r:id="rId4"/>
    <sheet name="CI DU 23042024 (4)" sheetId="5" state="hidden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5" l="1"/>
  <c r="P58" i="5"/>
  <c r="P54" i="5"/>
  <c r="P53" i="5"/>
  <c r="P52" i="5"/>
  <c r="P51" i="5"/>
  <c r="D44" i="5"/>
  <c r="F44" i="5" s="1"/>
  <c r="C45" i="5" s="1"/>
  <c r="C47" i="5" s="1"/>
  <c r="F35" i="5"/>
  <c r="C36" i="5" s="1"/>
  <c r="C38" i="5" s="1"/>
  <c r="C39" i="5" s="1"/>
  <c r="E39" i="5" s="1"/>
  <c r="F39" i="5" s="1"/>
  <c r="D35" i="5"/>
  <c r="J29" i="5"/>
  <c r="J28" i="5"/>
  <c r="J25" i="5"/>
  <c r="J30" i="5" s="1"/>
  <c r="F21" i="5"/>
  <c r="C22" i="5" s="1"/>
  <c r="C24" i="5" s="1"/>
  <c r="C25" i="5" s="1"/>
  <c r="D21" i="5"/>
  <c r="O10" i="5"/>
  <c r="N10" i="5"/>
  <c r="J10" i="5"/>
  <c r="C7" i="5"/>
  <c r="D6" i="5"/>
  <c r="C14" i="5" s="1"/>
  <c r="C15" i="5" s="1"/>
  <c r="L5" i="5"/>
  <c r="B1" i="5"/>
  <c r="I11" i="4"/>
  <c r="I10" i="4"/>
  <c r="C7" i="4"/>
  <c r="D6" i="4"/>
  <c r="F6" i="4" s="1"/>
  <c r="C9" i="4" s="1"/>
  <c r="C11" i="4" s="1"/>
  <c r="C12" i="4" s="1"/>
  <c r="B1" i="4"/>
  <c r="M11" i="1"/>
  <c r="B33" i="3"/>
  <c r="B32" i="3"/>
  <c r="B29" i="3"/>
  <c r="B34" i="3" s="1"/>
  <c r="D5" i="3"/>
  <c r="F5" i="3" s="1"/>
  <c r="C6" i="3" s="1"/>
  <c r="C8" i="3" s="1"/>
  <c r="C9" i="3" s="1"/>
  <c r="B1" i="3"/>
  <c r="D12" i="2"/>
  <c r="F12" i="2" s="1"/>
  <c r="C13" i="2" s="1"/>
  <c r="C15" i="2" s="1"/>
  <c r="B19" i="2" s="1"/>
  <c r="D3" i="2"/>
  <c r="F3" i="2" s="1"/>
  <c r="C4" i="2" s="1"/>
  <c r="C6" i="2" s="1"/>
  <c r="C7" i="2" s="1"/>
  <c r="E7" i="2" s="1"/>
  <c r="F7" i="2" s="1"/>
  <c r="M10" i="1"/>
  <c r="C7" i="1"/>
  <c r="D6" i="1"/>
  <c r="C14" i="1" s="1"/>
  <c r="C15" i="1" s="1"/>
  <c r="H1" i="1"/>
  <c r="B35" i="3" l="1"/>
  <c r="J31" i="5"/>
  <c r="C48" i="5"/>
  <c r="B51" i="5"/>
  <c r="C51" i="5" s="1"/>
  <c r="F6" i="5"/>
  <c r="C9" i="5" s="1"/>
  <c r="C11" i="5" s="1"/>
  <c r="C12" i="5" s="1"/>
  <c r="C14" i="4"/>
  <c r="C15" i="4" s="1"/>
  <c r="F6" i="1"/>
  <c r="C9" i="1" s="1"/>
  <c r="C11" i="1" s="1"/>
  <c r="C12" i="1" s="1"/>
  <c r="C16" i="2"/>
  <c r="C19" i="2"/>
</calcChain>
</file>

<file path=xl/sharedStrings.xml><?xml version="1.0" encoding="utf-8"?>
<sst xmlns="http://schemas.openxmlformats.org/spreadsheetml/2006/main" count="195" uniqueCount="51">
  <si>
    <t>BAT</t>
  </si>
  <si>
    <t>OAT</t>
  </si>
  <si>
    <t>BILL 1 CÔTE D'IVOIRE</t>
  </si>
  <si>
    <t>Value date</t>
  </si>
  <si>
    <t>Maturity</t>
  </si>
  <si>
    <t>DTM</t>
  </si>
  <si>
    <t>Taux précompté</t>
  </si>
  <si>
    <t>Taux postcompté</t>
  </si>
  <si>
    <t>date de valeur</t>
  </si>
  <si>
    <t>Échéance</t>
  </si>
  <si>
    <t>Coupon</t>
  </si>
  <si>
    <t>Price</t>
  </si>
  <si>
    <t>Prix</t>
  </si>
  <si>
    <t>Nominal</t>
  </si>
  <si>
    <t>Rendement</t>
  </si>
  <si>
    <t>Present value</t>
  </si>
  <si>
    <t>Interest</t>
  </si>
  <si>
    <t>SN0000003971</t>
  </si>
  <si>
    <t>Date de Valeur</t>
  </si>
  <si>
    <t>ISIN</t>
  </si>
  <si>
    <t>GW0000001366</t>
  </si>
  <si>
    <t>Montant</t>
  </si>
  <si>
    <t>Prix équivalent</t>
  </si>
  <si>
    <t>Valeur totale d'acquisition</t>
  </si>
  <si>
    <t>Date du précédent coupon</t>
  </si>
  <si>
    <t>Intérêt Précompté</t>
  </si>
  <si>
    <t>Date de prochain coupon</t>
  </si>
  <si>
    <t>Valeur nominale totale</t>
  </si>
  <si>
    <t>Coupon couru</t>
  </si>
  <si>
    <t>Achat</t>
  </si>
  <si>
    <t>TG0000002963</t>
  </si>
  <si>
    <t>Vente</t>
  </si>
  <si>
    <t>Valeur totale de cession</t>
  </si>
  <si>
    <t>NIR</t>
  </si>
  <si>
    <t>ECHEANCE</t>
  </si>
  <si>
    <t>COUPON</t>
  </si>
  <si>
    <t>MONTANT</t>
  </si>
  <si>
    <t>PRIX</t>
  </si>
  <si>
    <t>RENDEMENT</t>
  </si>
  <si>
    <t>EMISSION</t>
  </si>
  <si>
    <t>P&amp;L</t>
  </si>
  <si>
    <t>BJ0000002424</t>
  </si>
  <si>
    <t>BJ0000001640</t>
  </si>
  <si>
    <t>BJ0000002085</t>
  </si>
  <si>
    <t>BJ0000002226</t>
  </si>
  <si>
    <t>PRISE DE DECISION</t>
  </si>
  <si>
    <t>MOTIF</t>
  </si>
  <si>
    <t>Illustration page 12</t>
  </si>
  <si>
    <t>Rendement à maturité</t>
  </si>
  <si>
    <t>Rendement Courant</t>
  </si>
  <si>
    <t>Illustration page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</si>
</sst>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0.0000%"/>
    <numFmt numFmtId="165" formatCode="_-* #,##0.00\ _€_-;\-* #,##0.00\ _€_-;_-* &quot;-&quot;??\ _€_-;_-@_-"/>
    <numFmt numFmtId="166" formatCode="[$-409]d\-mmm\-yy;@"/>
    <numFmt numFmtId="167" formatCode="0.0%"/>
    <numFmt numFmtId="168" formatCode="_-* #,##0_-;\-* #,##0_-;_-* &quot;-&quot;??_-;_-@_-"/>
    <numFmt numFmtId="169" formatCode="_-* #,##0.000000_-;\-* #,##0.00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theme="1"/>
      <name val="Arial"/>
      <family val="2"/>
    </font>
    <font>
      <b/>
      <sz val="11"/>
      <color theme="4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2" fillId="2" borderId="0" xfId="0" applyFont="1" applyFill="1"/>
    <xf numFmtId="14" fontId="2" fillId="2" borderId="0" xfId="0" applyNumberFormat="1" applyFont="1" applyFill="1"/>
    <xf numFmtId="0" fontId="2" fillId="3" borderId="0" xfId="0" applyFont="1" applyFill="1" applyAlignment="1">
      <alignment horizontal="center" vertical="center" textRotation="90"/>
    </xf>
    <xf numFmtId="0" fontId="3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/>
    </xf>
    <xf numFmtId="164" fontId="5" fillId="2" borderId="1" xfId="3" applyNumberFormat="1" applyFont="1" applyFill="1" applyBorder="1" applyAlignment="1">
      <alignment horizontal="center" vertical="center"/>
    </xf>
    <xf numFmtId="166" fontId="3" fillId="2" borderId="0" xfId="1" applyNumberFormat="1" applyFont="1" applyFill="1" applyAlignment="1" applyProtection="1"/>
    <xf numFmtId="0" fontId="3" fillId="2" borderId="0" xfId="0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right" vertical="center"/>
    </xf>
    <xf numFmtId="1" fontId="3" fillId="2" borderId="0" xfId="0" applyNumberFormat="1" applyFont="1" applyFill="1" applyAlignment="1">
      <alignment horizontal="center" vertical="center"/>
    </xf>
    <xf numFmtId="167" fontId="0" fillId="2" borderId="0" xfId="3" applyNumberFormat="1" applyFont="1" applyFill="1" applyAlignment="1" applyProtection="1">
      <alignment horizontal="center"/>
    </xf>
    <xf numFmtId="168" fontId="0" fillId="2" borderId="0" xfId="1" applyNumberFormat="1" applyFont="1" applyFill="1" applyAlignment="1" applyProtection="1">
      <alignment horizontal="center"/>
    </xf>
    <xf numFmtId="10" fontId="0" fillId="2" borderId="0" xfId="0" applyNumberFormat="1" applyFill="1" applyAlignment="1">
      <alignment horizontal="right"/>
    </xf>
    <xf numFmtId="9" fontId="0" fillId="2" borderId="0" xfId="3" applyFont="1" applyFill="1"/>
    <xf numFmtId="10" fontId="0" fillId="2" borderId="0" xfId="3" applyNumberFormat="1" applyFont="1" applyFill="1"/>
    <xf numFmtId="167" fontId="3" fillId="2" borderId="0" xfId="3" applyNumberFormat="1" applyFont="1" applyFill="1" applyAlignment="1" applyProtection="1">
      <alignment horizontal="center"/>
    </xf>
    <xf numFmtId="169" fontId="3" fillId="2" borderId="0" xfId="1" applyNumberFormat="1" applyFont="1" applyFill="1" applyAlignment="1" applyProtection="1">
      <alignment horizontal="center"/>
    </xf>
    <xf numFmtId="169" fontId="0" fillId="2" borderId="0" xfId="1" applyNumberFormat="1" applyFont="1" applyFill="1" applyAlignment="1" applyProtection="1">
      <alignment horizontal="center"/>
    </xf>
    <xf numFmtId="168" fontId="0" fillId="2" borderId="0" xfId="0" applyNumberFormat="1" applyFill="1"/>
    <xf numFmtId="167" fontId="3" fillId="2" borderId="0" xfId="3" applyNumberFormat="1" applyFont="1" applyFill="1" applyAlignment="1" applyProtection="1">
      <alignment horizontal="center" vertical="center"/>
    </xf>
    <xf numFmtId="168" fontId="3" fillId="2" borderId="0" xfId="0" applyNumberFormat="1" applyFont="1" applyFill="1" applyAlignment="1">
      <alignment horizontal="center"/>
    </xf>
    <xf numFmtId="168" fontId="3" fillId="2" borderId="0" xfId="1" applyNumberFormat="1" applyFont="1" applyFill="1" applyAlignment="1" applyProtection="1">
      <alignment horizontal="center"/>
    </xf>
    <xf numFmtId="168" fontId="0" fillId="2" borderId="0" xfId="3" applyNumberFormat="1" applyFont="1" applyFill="1" applyAlignment="1" applyProtection="1">
      <alignment horizontal="center"/>
    </xf>
    <xf numFmtId="165" fontId="0" fillId="2" borderId="0" xfId="1" applyFont="1" applyFill="1" applyAlignment="1" applyProtection="1">
      <alignment horizontal="right"/>
    </xf>
    <xf numFmtId="0" fontId="0" fillId="2" borderId="0" xfId="0" applyFill="1" applyAlignment="1">
      <alignment horizontal="right"/>
    </xf>
    <xf numFmtId="2" fontId="0" fillId="2" borderId="0" xfId="0" applyNumberFormat="1" applyFill="1" applyAlignment="1">
      <alignment horizontal="right"/>
    </xf>
    <xf numFmtId="0" fontId="0" fillId="2" borderId="2" xfId="0" applyFill="1" applyBorder="1"/>
    <xf numFmtId="168" fontId="3" fillId="2" borderId="2" xfId="1" applyNumberFormat="1" applyFont="1" applyFill="1" applyBorder="1" applyAlignment="1" applyProtection="1">
      <alignment horizontal="center"/>
    </xf>
    <xf numFmtId="0" fontId="0" fillId="2" borderId="2" xfId="0" applyFill="1" applyBorder="1" applyAlignment="1">
      <alignment horizontal="right"/>
    </xf>
    <xf numFmtId="41" fontId="0" fillId="2" borderId="2" xfId="2" applyFont="1" applyFill="1" applyBorder="1"/>
    <xf numFmtId="0" fontId="2" fillId="2" borderId="0" xfId="0" applyFont="1" applyFill="1" applyAlignment="1">
      <alignment horizontal="center" vertical="center" textRotation="90"/>
    </xf>
    <xf numFmtId="168" fontId="3" fillId="2" borderId="0" xfId="1" applyNumberFormat="1" applyFont="1" applyFill="1" applyBorder="1" applyAlignment="1" applyProtection="1">
      <alignment horizontal="center"/>
    </xf>
    <xf numFmtId="0" fontId="2" fillId="3" borderId="3" xfId="0" applyFont="1" applyFill="1" applyBorder="1" applyAlignment="1">
      <alignment horizontal="center" vertical="center" textRotation="90"/>
    </xf>
    <xf numFmtId="0" fontId="3" fillId="4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 vertical="center"/>
    </xf>
    <xf numFmtId="164" fontId="5" fillId="5" borderId="5" xfId="3" applyNumberFormat="1" applyFont="1" applyFill="1" applyBorder="1" applyAlignment="1">
      <alignment horizontal="center" vertical="center"/>
    </xf>
    <xf numFmtId="167" fontId="3" fillId="2" borderId="6" xfId="3" applyNumberFormat="1" applyFont="1" applyFill="1" applyBorder="1" applyAlignment="1" applyProtection="1">
      <alignment horizontal="left" vertical="center"/>
    </xf>
    <xf numFmtId="167" fontId="3" fillId="2" borderId="7" xfId="3" applyNumberFormat="1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>
      <alignment horizontal="center" vertical="center" textRotation="90"/>
    </xf>
    <xf numFmtId="166" fontId="3" fillId="2" borderId="0" xfId="1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>
      <alignment horizontal="right" vertical="center"/>
    </xf>
    <xf numFmtId="164" fontId="7" fillId="2" borderId="9" xfId="3" applyNumberFormat="1" applyFont="1" applyFill="1" applyBorder="1" applyAlignment="1">
      <alignment horizontal="center" vertical="center"/>
    </xf>
    <xf numFmtId="167" fontId="3" fillId="2" borderId="10" xfId="3" applyNumberFormat="1" applyFont="1" applyFill="1" applyBorder="1" applyAlignment="1" applyProtection="1">
      <alignment horizontal="left" vertical="center"/>
    </xf>
    <xf numFmtId="3" fontId="3" fillId="2" borderId="11" xfId="0" applyNumberFormat="1" applyFont="1" applyFill="1" applyBorder="1" applyAlignment="1">
      <alignment horizontal="center" vertical="center"/>
    </xf>
    <xf numFmtId="167" fontId="3" fillId="2" borderId="0" xfId="3" applyNumberFormat="1" applyFont="1" applyFill="1" applyBorder="1" applyAlignment="1" applyProtection="1">
      <alignment horizontal="center" vertical="center"/>
    </xf>
    <xf numFmtId="169" fontId="3" fillId="2" borderId="0" xfId="1" applyNumberFormat="1" applyFont="1" applyFill="1" applyBorder="1" applyAlignment="1" applyProtection="1">
      <alignment horizontal="center" vertical="center"/>
    </xf>
    <xf numFmtId="169" fontId="0" fillId="2" borderId="0" xfId="1" applyNumberFormat="1" applyFont="1" applyFill="1" applyBorder="1" applyAlignment="1" applyProtection="1">
      <alignment horizontal="center" vertical="center"/>
    </xf>
    <xf numFmtId="10" fontId="0" fillId="2" borderId="0" xfId="0" applyNumberFormat="1" applyFill="1" applyAlignment="1">
      <alignment horizontal="right" vertical="center"/>
    </xf>
    <xf numFmtId="168" fontId="0" fillId="2" borderId="11" xfId="0" applyNumberFormat="1" applyFill="1" applyBorder="1" applyAlignment="1">
      <alignment vertical="center"/>
    </xf>
    <xf numFmtId="14" fontId="8" fillId="2" borderId="11" xfId="0" applyNumberFormat="1" applyFont="1" applyFill="1" applyBorder="1" applyAlignment="1">
      <alignment horizontal="center" vertical="center"/>
    </xf>
    <xf numFmtId="168" fontId="3" fillId="2" borderId="0" xfId="0" applyNumberFormat="1" applyFont="1" applyFill="1" applyAlignment="1">
      <alignment horizontal="center" vertical="center"/>
    </xf>
    <xf numFmtId="168" fontId="0" fillId="2" borderId="0" xfId="1" applyNumberFormat="1" applyFont="1" applyFill="1" applyBorder="1" applyAlignment="1" applyProtection="1">
      <alignment horizontal="center" vertical="center"/>
    </xf>
    <xf numFmtId="0" fontId="0" fillId="2" borderId="11" xfId="0" applyFill="1" applyBorder="1" applyAlignment="1">
      <alignment vertical="center"/>
    </xf>
    <xf numFmtId="168" fontId="6" fillId="2" borderId="0" xfId="1" applyNumberFormat="1" applyFont="1" applyFill="1" applyBorder="1" applyAlignment="1" applyProtection="1">
      <alignment horizontal="center" vertical="center"/>
    </xf>
    <xf numFmtId="168" fontId="0" fillId="2" borderId="0" xfId="3" applyNumberFormat="1" applyFont="1" applyFill="1" applyBorder="1" applyAlignment="1" applyProtection="1">
      <alignment horizontal="center" vertical="center"/>
    </xf>
    <xf numFmtId="165" fontId="0" fillId="2" borderId="0" xfId="1" applyFont="1" applyFill="1" applyBorder="1" applyAlignment="1" applyProtection="1">
      <alignment horizontal="right" vertical="center"/>
    </xf>
    <xf numFmtId="168" fontId="3" fillId="2" borderId="0" xfId="1" applyNumberFormat="1" applyFont="1" applyFill="1" applyBorder="1" applyAlignment="1" applyProtection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right" vertical="center"/>
    </xf>
    <xf numFmtId="0" fontId="2" fillId="3" borderId="12" xfId="0" applyFont="1" applyFill="1" applyBorder="1" applyAlignment="1">
      <alignment horizontal="center" vertical="center" textRotation="90"/>
    </xf>
    <xf numFmtId="0" fontId="0" fillId="2" borderId="13" xfId="0" applyFill="1" applyBorder="1" applyAlignment="1">
      <alignment vertical="center"/>
    </xf>
    <xf numFmtId="2" fontId="0" fillId="2" borderId="13" xfId="0" applyNumberFormat="1" applyFill="1" applyBorder="1" applyAlignment="1">
      <alignment horizontal="right" vertical="center"/>
    </xf>
    <xf numFmtId="0" fontId="0" fillId="2" borderId="14" xfId="0" applyFill="1" applyBorder="1" applyAlignment="1">
      <alignment vertical="center"/>
    </xf>
    <xf numFmtId="10" fontId="8" fillId="2" borderId="11" xfId="3" applyNumberFormat="1" applyFont="1" applyFill="1" applyBorder="1" applyAlignment="1">
      <alignment horizontal="center" vertical="center"/>
    </xf>
    <xf numFmtId="164" fontId="8" fillId="5" borderId="11" xfId="3" applyNumberFormat="1" applyFont="1" applyFill="1" applyBorder="1" applyAlignment="1">
      <alignment horizontal="center" vertical="center"/>
    </xf>
    <xf numFmtId="10" fontId="6" fillId="2" borderId="11" xfId="3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3" fontId="6" fillId="2" borderId="14" xfId="0" applyNumberFormat="1" applyFont="1" applyFill="1" applyBorder="1" applyAlignment="1">
      <alignment horizontal="center" vertical="center"/>
    </xf>
    <xf numFmtId="168" fontId="0" fillId="2" borderId="0" xfId="0" applyNumberFormat="1" applyFill="1" applyAlignment="1">
      <alignment horizontal="right" vertical="center"/>
    </xf>
    <xf numFmtId="10" fontId="7" fillId="2" borderId="9" xfId="3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4" fontId="0" fillId="2" borderId="1" xfId="1" applyNumberFormat="1" applyFont="1" applyFill="1" applyBorder="1" applyAlignment="1">
      <alignment horizontal="center" vertical="center"/>
    </xf>
    <xf numFmtId="10" fontId="0" fillId="2" borderId="1" xfId="3" applyNumberFormat="1" applyFont="1" applyFill="1" applyBorder="1" applyAlignment="1">
      <alignment horizontal="center" vertical="center"/>
    </xf>
    <xf numFmtId="168" fontId="3" fillId="7" borderId="0" xfId="1" applyNumberFormat="1" applyFont="1" applyFill="1" applyBorder="1" applyAlignment="1" applyProtection="1">
      <alignment horizontal="center" vertical="center"/>
    </xf>
    <xf numFmtId="0" fontId="0" fillId="6" borderId="0" xfId="0" applyFill="1"/>
    <xf numFmtId="168" fontId="0" fillId="6" borderId="0" xfId="0" applyNumberFormat="1" applyFill="1"/>
    <xf numFmtId="168" fontId="10" fillId="2" borderId="0" xfId="0" applyNumberFormat="1" applyFont="1" applyFill="1"/>
    <xf numFmtId="168" fontId="11" fillId="2" borderId="0" xfId="0" applyNumberFormat="1" applyFont="1" applyFill="1" applyAlignment="1">
      <alignment horizontal="right" vertical="center"/>
    </xf>
    <xf numFmtId="0" fontId="9" fillId="2" borderId="0" xfId="0" applyFont="1" applyFill="1"/>
    <xf numFmtId="0" fontId="0" fillId="2" borderId="3" xfId="0" applyFill="1" applyBorder="1"/>
    <xf numFmtId="0" fontId="0" fillId="2" borderId="7" xfId="0" applyFill="1" applyBorder="1"/>
    <xf numFmtId="0" fontId="0" fillId="2" borderId="8" xfId="0" applyFill="1" applyBorder="1"/>
    <xf numFmtId="14" fontId="0" fillId="2" borderId="11" xfId="0" applyNumberFormat="1" applyFill="1" applyBorder="1"/>
    <xf numFmtId="9" fontId="0" fillId="2" borderId="11" xfId="3" applyFont="1" applyFill="1" applyBorder="1"/>
    <xf numFmtId="0" fontId="2" fillId="8" borderId="8" xfId="0" applyFont="1" applyFill="1" applyBorder="1"/>
    <xf numFmtId="10" fontId="2" fillId="8" borderId="11" xfId="3" applyNumberFormat="1" applyFont="1" applyFill="1" applyBorder="1"/>
    <xf numFmtId="0" fontId="11" fillId="2" borderId="12" xfId="0" applyFont="1" applyFill="1" applyBorder="1"/>
    <xf numFmtId="10" fontId="11" fillId="2" borderId="14" xfId="0" applyNumberFormat="1" applyFont="1" applyFill="1" applyBorder="1"/>
    <xf numFmtId="0" fontId="0" fillId="9" borderId="0" xfId="0" applyFill="1"/>
    <xf numFmtId="0" fontId="0" fillId="10" borderId="0" xfId="0" applyFill="1"/>
  </cellXfs>
  <cellStyles count="4">
    <cellStyle name="Milliers" xfId="1" builtinId="3"/>
    <cellStyle name="Milliers [0]" xfId="2" builtinId="6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A84AE-AE02-4FB6-96C1-A8E180973B66}">
  <dimension ref="A1:M16"/>
  <sheetViews>
    <sheetView tabSelected="1" workbookViewId="0">
      <selection activeCell="E17" sqref="E17"/>
    </sheetView>
  </sheetViews>
  <sheetFormatPr baseColWidth="10" defaultColWidth="11.42578125" defaultRowHeight="15" x14ac:dyDescent="0.25"/>
  <cols>
    <col min="1" max="1" width="4.85546875" style="1" customWidth="1"/>
    <col min="2" max="2" width="21.7109375" style="1" bestFit="1" customWidth="1"/>
    <col min="3" max="3" width="13.7109375" style="1" bestFit="1" customWidth="1"/>
    <col min="4" max="4" width="5.140625" style="1" bestFit="1" customWidth="1"/>
    <col min="5" max="5" width="12.85546875" style="1" bestFit="1" customWidth="1"/>
    <col min="6" max="6" width="13.7109375" style="1" bestFit="1" customWidth="1"/>
    <col min="7" max="8" width="11.42578125" style="1"/>
    <col min="9" max="9" width="1.28515625" style="96" customWidth="1"/>
    <col min="10" max="11" width="11.42578125" style="1"/>
    <col min="12" max="12" width="22" style="1" bestFit="1" customWidth="1"/>
    <col min="13" max="13" width="18.85546875" style="1" customWidth="1"/>
    <col min="14" max="14" width="12.85546875" style="1" bestFit="1" customWidth="1"/>
    <col min="15" max="16384" width="11.42578125" style="1"/>
  </cols>
  <sheetData>
    <row r="1" spans="1:13" x14ac:dyDescent="0.25">
      <c r="A1" s="1" t="s">
        <v>0</v>
      </c>
      <c r="H1" s="2">
        <f ca="1">TODAY()</f>
        <v>45852</v>
      </c>
      <c r="L1" s="1" t="s">
        <v>1</v>
      </c>
    </row>
    <row r="2" spans="1:13" x14ac:dyDescent="0.25">
      <c r="A2" s="3"/>
      <c r="B2" s="3"/>
      <c r="C2" s="3"/>
      <c r="D2" s="3"/>
      <c r="E2" s="3"/>
      <c r="F2" s="4"/>
    </row>
    <row r="3" spans="1:13" x14ac:dyDescent="0.25">
      <c r="C3" s="3"/>
    </row>
    <row r="4" spans="1:13" ht="15.75" thickBot="1" x14ac:dyDescent="0.3">
      <c r="A4" s="86" t="s">
        <v>47</v>
      </c>
      <c r="B4" s="3"/>
      <c r="L4" s="86" t="s">
        <v>50</v>
      </c>
    </row>
    <row r="5" spans="1:13" ht="15" customHeight="1" x14ac:dyDescent="0.25">
      <c r="A5" s="5" t="s">
        <v>2</v>
      </c>
      <c r="B5" s="6" t="s">
        <v>3</v>
      </c>
      <c r="C5" s="6" t="s">
        <v>4</v>
      </c>
      <c r="D5" s="7" t="s">
        <v>5</v>
      </c>
      <c r="E5" s="8" t="s">
        <v>6</v>
      </c>
      <c r="F5" s="9">
        <v>6.6000000000000003E-2</v>
      </c>
      <c r="L5" s="87" t="s">
        <v>1</v>
      </c>
      <c r="M5" s="88"/>
    </row>
    <row r="6" spans="1:13" x14ac:dyDescent="0.25">
      <c r="A6" s="5"/>
      <c r="B6" s="10">
        <v>45853</v>
      </c>
      <c r="C6" s="10">
        <v>46217</v>
      </c>
      <c r="D6" s="11">
        <f>C6-B6</f>
        <v>364</v>
      </c>
      <c r="E6" s="8" t="s">
        <v>7</v>
      </c>
      <c r="F6" s="9">
        <f>F5/(1-F5*D6/360)</f>
        <v>7.0719337095506818E-2</v>
      </c>
      <c r="L6" s="89" t="s">
        <v>8</v>
      </c>
      <c r="M6" s="90">
        <v>45855</v>
      </c>
    </row>
    <row r="7" spans="1:13" x14ac:dyDescent="0.25">
      <c r="A7" s="5"/>
      <c r="B7" s="10"/>
      <c r="C7" s="12">
        <f>WEEKDAY(C6,2)</f>
        <v>2</v>
      </c>
      <c r="D7" s="13"/>
      <c r="E7" s="8"/>
      <c r="L7" s="89" t="s">
        <v>9</v>
      </c>
      <c r="M7" s="90">
        <v>46951</v>
      </c>
    </row>
    <row r="8" spans="1:13" x14ac:dyDescent="0.25">
      <c r="A8" s="5"/>
      <c r="B8" s="14"/>
      <c r="C8" s="15"/>
      <c r="E8" s="16"/>
      <c r="L8" s="89" t="s">
        <v>10</v>
      </c>
      <c r="M8" s="91">
        <v>0.06</v>
      </c>
    </row>
    <row r="9" spans="1:13" x14ac:dyDescent="0.25">
      <c r="A9" s="5"/>
      <c r="B9" s="19" t="s">
        <v>11</v>
      </c>
      <c r="C9" s="20">
        <f>100/(1+F6*(C6-B6)/360)</f>
        <v>93.326666666666668</v>
      </c>
      <c r="D9" s="21"/>
      <c r="E9" s="16"/>
      <c r="F9" s="22"/>
      <c r="L9" s="89" t="s">
        <v>12</v>
      </c>
      <c r="M9" s="91">
        <v>0.99</v>
      </c>
    </row>
    <row r="10" spans="1:13" x14ac:dyDescent="0.25">
      <c r="A10" s="5"/>
      <c r="B10" s="23" t="s">
        <v>13</v>
      </c>
      <c r="C10" s="24">
        <v>1000000000</v>
      </c>
      <c r="D10" s="15"/>
      <c r="E10" s="16"/>
      <c r="L10" s="92" t="s">
        <v>48</v>
      </c>
      <c r="M10" s="93">
        <f>YIELD(M6,M7,M8,M9*100,100,1,1)</f>
        <v>6.3767202150820268E-2</v>
      </c>
    </row>
    <row r="11" spans="1:13" ht="15.75" thickBot="1" x14ac:dyDescent="0.3">
      <c r="A11" s="5"/>
      <c r="B11" s="11" t="s">
        <v>15</v>
      </c>
      <c r="C11" s="25">
        <f>C10*C9/100</f>
        <v>933266666.66666675</v>
      </c>
      <c r="D11" s="26"/>
      <c r="E11" s="27"/>
      <c r="F11" s="22"/>
      <c r="L11" s="94" t="s">
        <v>49</v>
      </c>
      <c r="M11" s="95">
        <f>M8/M9</f>
        <v>6.0606060606060608E-2</v>
      </c>
    </row>
    <row r="12" spans="1:13" x14ac:dyDescent="0.25">
      <c r="A12" s="5"/>
      <c r="B12" s="11" t="s">
        <v>16</v>
      </c>
      <c r="C12" s="25">
        <f>C10-C11</f>
        <v>66733333.333333254</v>
      </c>
      <c r="E12" s="28"/>
    </row>
    <row r="13" spans="1:13" x14ac:dyDescent="0.25">
      <c r="A13" s="5"/>
      <c r="E13" s="29"/>
    </row>
    <row r="14" spans="1:13" x14ac:dyDescent="0.25">
      <c r="A14" s="5"/>
      <c r="C14" s="25">
        <f>C10*(1-F5*D6/360)</f>
        <v>933266666.66666675</v>
      </c>
      <c r="D14" s="25"/>
      <c r="E14" s="28"/>
    </row>
    <row r="15" spans="1:13" x14ac:dyDescent="0.25">
      <c r="A15" s="5"/>
      <c r="B15" s="30"/>
      <c r="C15" s="31">
        <f>C10-C14</f>
        <v>66733333.333333254</v>
      </c>
      <c r="D15" s="30"/>
      <c r="E15" s="32"/>
      <c r="F15" s="33"/>
    </row>
    <row r="16" spans="1:13" x14ac:dyDescent="0.25">
      <c r="A16" s="34"/>
      <c r="C16" s="35"/>
      <c r="E16" s="28"/>
    </row>
  </sheetData>
  <mergeCells count="1">
    <mergeCell ref="A5:A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73231-EADD-43E5-9739-E257AB72221B}">
  <dimension ref="A1:I16"/>
  <sheetViews>
    <sheetView workbookViewId="0">
      <selection activeCell="H4" sqref="H4"/>
    </sheetView>
  </sheetViews>
  <sheetFormatPr baseColWidth="10" defaultColWidth="11.42578125" defaultRowHeight="15" x14ac:dyDescent="0.25"/>
  <cols>
    <col min="1" max="1" width="4.85546875" style="1" customWidth="1"/>
    <col min="2" max="2" width="21.7109375" style="1" bestFit="1" customWidth="1"/>
    <col min="3" max="3" width="13.7109375" style="1" bestFit="1" customWidth="1"/>
    <col min="4" max="4" width="5.140625" style="1" bestFit="1" customWidth="1"/>
    <col min="5" max="5" width="12.85546875" style="1" bestFit="1" customWidth="1"/>
    <col min="6" max="6" width="13.7109375" style="1" bestFit="1" customWidth="1"/>
    <col min="7" max="7" width="11.42578125" style="1"/>
    <col min="8" max="8" width="22" style="1" bestFit="1" customWidth="1"/>
    <col min="9" max="9" width="18.85546875" style="1" customWidth="1"/>
    <col min="10" max="10" width="12.85546875" style="1" bestFit="1" customWidth="1"/>
    <col min="11" max="16384" width="11.42578125" style="1"/>
  </cols>
  <sheetData>
    <row r="1" spans="1:9" x14ac:dyDescent="0.25">
      <c r="A1" s="1" t="s">
        <v>0</v>
      </c>
      <c r="B1" s="2">
        <f ca="1">TODAY()</f>
        <v>45852</v>
      </c>
      <c r="H1" s="1" t="s">
        <v>1</v>
      </c>
    </row>
    <row r="2" spans="1:9" x14ac:dyDescent="0.25">
      <c r="A2" s="3"/>
      <c r="B2" s="3"/>
      <c r="C2" s="3"/>
      <c r="D2" s="3"/>
      <c r="E2" s="3"/>
      <c r="F2" s="4"/>
    </row>
    <row r="3" spans="1:9" x14ac:dyDescent="0.25">
      <c r="C3" s="3"/>
    </row>
    <row r="4" spans="1:9" ht="15.75" thickBot="1" x14ac:dyDescent="0.3">
      <c r="A4" s="86"/>
      <c r="B4" s="3"/>
      <c r="H4" s="86"/>
    </row>
    <row r="5" spans="1:9" ht="15" customHeight="1" x14ac:dyDescent="0.25">
      <c r="A5" s="5" t="s">
        <v>2</v>
      </c>
      <c r="B5" s="6" t="s">
        <v>3</v>
      </c>
      <c r="C5" s="6" t="s">
        <v>4</v>
      </c>
      <c r="D5" s="7" t="s">
        <v>5</v>
      </c>
      <c r="E5" s="8" t="s">
        <v>6</v>
      </c>
      <c r="F5" s="9">
        <v>6.6000000000000003E-2</v>
      </c>
      <c r="H5" s="87" t="s">
        <v>1</v>
      </c>
      <c r="I5" s="88"/>
    </row>
    <row r="6" spans="1:9" x14ac:dyDescent="0.25">
      <c r="A6" s="5"/>
      <c r="B6" s="10">
        <v>45853</v>
      </c>
      <c r="C6" s="10">
        <v>46217</v>
      </c>
      <c r="D6" s="11">
        <f>C6-B6</f>
        <v>364</v>
      </c>
      <c r="E6" s="8" t="s">
        <v>7</v>
      </c>
      <c r="F6" s="9">
        <f>F5/(1-F5*D6/360)</f>
        <v>7.0719337095506818E-2</v>
      </c>
      <c r="H6" s="89" t="s">
        <v>8</v>
      </c>
      <c r="I6" s="90">
        <v>45855</v>
      </c>
    </row>
    <row r="7" spans="1:9" x14ac:dyDescent="0.25">
      <c r="A7" s="5"/>
      <c r="B7" s="10"/>
      <c r="C7" s="12">
        <f>WEEKDAY(C6,2)</f>
        <v>2</v>
      </c>
      <c r="D7" s="13"/>
      <c r="E7" s="8"/>
      <c r="H7" s="89" t="s">
        <v>9</v>
      </c>
      <c r="I7" s="90">
        <v>46951</v>
      </c>
    </row>
    <row r="8" spans="1:9" x14ac:dyDescent="0.25">
      <c r="A8" s="5"/>
      <c r="B8" s="14"/>
      <c r="C8" s="15"/>
      <c r="E8" s="16"/>
      <c r="H8" s="89" t="s">
        <v>10</v>
      </c>
      <c r="I8" s="91">
        <v>0.06</v>
      </c>
    </row>
    <row r="9" spans="1:9" x14ac:dyDescent="0.25">
      <c r="A9" s="5"/>
      <c r="B9" s="19" t="s">
        <v>11</v>
      </c>
      <c r="C9" s="20">
        <f>100/(1+F6*(C6-B6)/360)</f>
        <v>93.326666666666668</v>
      </c>
      <c r="D9" s="21"/>
      <c r="E9" s="16"/>
      <c r="F9" s="22"/>
      <c r="H9" s="89" t="s">
        <v>12</v>
      </c>
      <c r="I9" s="91">
        <v>0.99</v>
      </c>
    </row>
    <row r="10" spans="1:9" x14ac:dyDescent="0.25">
      <c r="A10" s="5"/>
      <c r="B10" s="23" t="s">
        <v>13</v>
      </c>
      <c r="C10" s="24">
        <v>1000000000</v>
      </c>
      <c r="D10" s="15"/>
      <c r="E10" s="16"/>
      <c r="H10" s="92" t="s">
        <v>48</v>
      </c>
      <c r="I10" s="93">
        <f>YIELD(I6,I7,I8,I9*100,100,1,1)</f>
        <v>6.3767202150820268E-2</v>
      </c>
    </row>
    <row r="11" spans="1:9" ht="15.75" thickBot="1" x14ac:dyDescent="0.3">
      <c r="A11" s="5"/>
      <c r="B11" s="11" t="s">
        <v>15</v>
      </c>
      <c r="C11" s="25">
        <f>C10*C9/100</f>
        <v>933266666.66666675</v>
      </c>
      <c r="D11" s="26"/>
      <c r="E11" s="27"/>
      <c r="F11" s="22"/>
      <c r="H11" s="94" t="s">
        <v>49</v>
      </c>
      <c r="I11" s="95">
        <f>I8/I9</f>
        <v>6.0606060606060608E-2</v>
      </c>
    </row>
    <row r="12" spans="1:9" x14ac:dyDescent="0.25">
      <c r="A12" s="5"/>
      <c r="B12" s="11" t="s">
        <v>16</v>
      </c>
      <c r="C12" s="25">
        <f>C10-C11</f>
        <v>66733333.333333254</v>
      </c>
      <c r="E12" s="28"/>
    </row>
    <row r="13" spans="1:9" x14ac:dyDescent="0.25">
      <c r="A13" s="5"/>
      <c r="E13" s="29"/>
    </row>
    <row r="14" spans="1:9" x14ac:dyDescent="0.25">
      <c r="A14" s="5"/>
      <c r="C14" s="25">
        <f>C10*(1-F5*D6/360)</f>
        <v>933266666.66666675</v>
      </c>
      <c r="D14" s="25"/>
      <c r="E14" s="28"/>
    </row>
    <row r="15" spans="1:9" x14ac:dyDescent="0.25">
      <c r="A15" s="5"/>
      <c r="B15" s="30"/>
      <c r="C15" s="31">
        <f>C10-C14</f>
        <v>66733333.333333254</v>
      </c>
      <c r="D15" s="30"/>
      <c r="E15" s="32"/>
      <c r="F15" s="33"/>
    </row>
    <row r="16" spans="1:9" x14ac:dyDescent="0.25">
      <c r="A16" s="34"/>
      <c r="C16" s="35"/>
      <c r="E16" s="28"/>
    </row>
  </sheetData>
  <mergeCells count="1">
    <mergeCell ref="A5:A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749F-A004-45DF-A959-913E2C39EF5C}">
  <dimension ref="A1:F35"/>
  <sheetViews>
    <sheetView workbookViewId="0">
      <selection activeCell="F17" sqref="F17"/>
    </sheetView>
  </sheetViews>
  <sheetFormatPr baseColWidth="10" defaultColWidth="11.42578125" defaultRowHeight="15" x14ac:dyDescent="0.25"/>
  <cols>
    <col min="1" max="1" width="22" style="1" customWidth="1"/>
    <col min="2" max="2" width="21.7109375" style="1" bestFit="1" customWidth="1"/>
    <col min="3" max="3" width="13.7109375" style="1" bestFit="1" customWidth="1"/>
    <col min="4" max="4" width="5.140625" style="1" bestFit="1" customWidth="1"/>
    <col min="5" max="5" width="12.85546875" style="1" bestFit="1" customWidth="1"/>
    <col min="6" max="6" width="13.7109375" style="1" bestFit="1" customWidth="1"/>
    <col min="7" max="8" width="11.42578125" style="1"/>
    <col min="9" max="9" width="22" style="1" bestFit="1" customWidth="1"/>
    <col min="10" max="10" width="18.85546875" style="1" customWidth="1"/>
    <col min="11" max="11" width="12.85546875" style="1" bestFit="1" customWidth="1"/>
    <col min="12" max="12" width="11.42578125" style="1"/>
    <col min="13" max="13" width="13.7109375" style="1" bestFit="1" customWidth="1"/>
    <col min="14" max="14" width="19.7109375" style="1" customWidth="1"/>
    <col min="15" max="15" width="17" style="1" customWidth="1"/>
    <col min="16" max="16" width="12.42578125" style="1" customWidth="1"/>
    <col min="17" max="16384" width="11.42578125" style="1"/>
  </cols>
  <sheetData>
    <row r="1" spans="1:6" x14ac:dyDescent="0.25">
      <c r="A1" s="1" t="s">
        <v>0</v>
      </c>
      <c r="B1" s="2">
        <f ca="1">TODAY()</f>
        <v>45852</v>
      </c>
    </row>
    <row r="3" spans="1:6" ht="15.75" thickBot="1" x14ac:dyDescent="0.3"/>
    <row r="4" spans="1:6" x14ac:dyDescent="0.25">
      <c r="A4" s="36" t="s">
        <v>17</v>
      </c>
      <c r="B4" s="37" t="s">
        <v>18</v>
      </c>
      <c r="C4" s="37" t="s">
        <v>9</v>
      </c>
      <c r="D4" s="38" t="s">
        <v>5</v>
      </c>
      <c r="E4" s="39" t="s">
        <v>6</v>
      </c>
      <c r="F4" s="40">
        <v>6.6500000000000004E-2</v>
      </c>
    </row>
    <row r="5" spans="1:6" x14ac:dyDescent="0.25">
      <c r="A5" s="43"/>
      <c r="B5" s="44">
        <v>45842</v>
      </c>
      <c r="C5" s="44">
        <v>46206</v>
      </c>
      <c r="D5" s="11">
        <f>C5-B5</f>
        <v>364</v>
      </c>
      <c r="E5" s="45" t="s">
        <v>7</v>
      </c>
      <c r="F5" s="46">
        <f>F4/(1-F4*D5/360)</f>
        <v>7.1293709834005375E-2</v>
      </c>
    </row>
    <row r="6" spans="1:6" x14ac:dyDescent="0.25">
      <c r="A6" s="43"/>
      <c r="B6" s="49" t="s">
        <v>22</v>
      </c>
      <c r="C6" s="50">
        <f>100/(1+F5*(C5-B5)/360)</f>
        <v>93.276111111111121</v>
      </c>
      <c r="D6" s="51"/>
      <c r="E6" s="52"/>
      <c r="F6" s="53"/>
    </row>
    <row r="7" spans="1:6" x14ac:dyDescent="0.25">
      <c r="A7" s="43"/>
      <c r="B7" s="49" t="s">
        <v>21</v>
      </c>
      <c r="C7" s="55">
        <v>1000000000</v>
      </c>
      <c r="D7" s="56"/>
      <c r="E7" s="52"/>
      <c r="F7" s="57"/>
    </row>
    <row r="8" spans="1:6" x14ac:dyDescent="0.25">
      <c r="A8" s="43"/>
      <c r="B8" s="11" t="s">
        <v>23</v>
      </c>
      <c r="C8" s="58">
        <f>C7*C6/100</f>
        <v>932761111.11111116</v>
      </c>
      <c r="D8" s="59"/>
      <c r="E8" s="60"/>
      <c r="F8" s="53"/>
    </row>
    <row r="9" spans="1:6" x14ac:dyDescent="0.25">
      <c r="A9" s="43"/>
      <c r="B9" s="11" t="s">
        <v>25</v>
      </c>
      <c r="C9" s="61">
        <f>C7-C8</f>
        <v>67238888.888888836</v>
      </c>
      <c r="D9" s="62"/>
      <c r="E9" s="63"/>
      <c r="F9" s="57"/>
    </row>
    <row r="10" spans="1:6" ht="15.75" thickBot="1" x14ac:dyDescent="0.3">
      <c r="A10" s="64"/>
      <c r="B10" s="65"/>
      <c r="C10" s="65"/>
      <c r="D10" s="65"/>
      <c r="E10" s="66"/>
      <c r="F10" s="67"/>
    </row>
    <row r="20" spans="1:2" s="97" customFormat="1" ht="9" customHeight="1" x14ac:dyDescent="0.25"/>
    <row r="21" spans="1:2" x14ac:dyDescent="0.25">
      <c r="A21" s="1" t="s">
        <v>1</v>
      </c>
    </row>
    <row r="23" spans="1:2" ht="15.75" thickBot="1" x14ac:dyDescent="0.3"/>
    <row r="24" spans="1:2" x14ac:dyDescent="0.25">
      <c r="A24" s="41" t="s">
        <v>19</v>
      </c>
      <c r="B24" s="42" t="s">
        <v>20</v>
      </c>
    </row>
    <row r="25" spans="1:2" x14ac:dyDescent="0.25">
      <c r="A25" s="47" t="s">
        <v>21</v>
      </c>
      <c r="B25" s="48">
        <v>5000000000</v>
      </c>
    </row>
    <row r="26" spans="1:2" x14ac:dyDescent="0.25">
      <c r="A26" s="47" t="s">
        <v>8</v>
      </c>
      <c r="B26" s="54">
        <v>45741</v>
      </c>
    </row>
    <row r="27" spans="1:2" x14ac:dyDescent="0.25">
      <c r="A27" s="47" t="s">
        <v>9</v>
      </c>
      <c r="B27" s="54">
        <v>46837</v>
      </c>
    </row>
    <row r="28" spans="1:2" x14ac:dyDescent="0.25">
      <c r="A28" s="47" t="s">
        <v>24</v>
      </c>
      <c r="B28" s="54">
        <v>45741</v>
      </c>
    </row>
    <row r="29" spans="1:2" x14ac:dyDescent="0.25">
      <c r="A29" s="47" t="s">
        <v>26</v>
      </c>
      <c r="B29" s="54">
        <f>B28+365</f>
        <v>46106</v>
      </c>
    </row>
    <row r="30" spans="1:2" x14ac:dyDescent="0.25">
      <c r="A30" s="47" t="s">
        <v>10</v>
      </c>
      <c r="B30" s="68">
        <v>6.25E-2</v>
      </c>
    </row>
    <row r="31" spans="1:2" x14ac:dyDescent="0.25">
      <c r="A31" s="47" t="s">
        <v>12</v>
      </c>
      <c r="B31" s="69">
        <v>0.90500000000000003</v>
      </c>
    </row>
    <row r="32" spans="1:2" x14ac:dyDescent="0.25">
      <c r="A32" s="47" t="s">
        <v>14</v>
      </c>
      <c r="B32" s="70">
        <f>YIELD(B26,B27,B30,B31*100,100,1,1)</f>
        <v>0.10075145404936756</v>
      </c>
    </row>
    <row r="33" spans="1:2" x14ac:dyDescent="0.25">
      <c r="A33" s="47" t="s">
        <v>27</v>
      </c>
      <c r="B33" s="48">
        <f>B31*B25</f>
        <v>4525000000</v>
      </c>
    </row>
    <row r="34" spans="1:2" x14ac:dyDescent="0.25">
      <c r="A34" s="47" t="s">
        <v>28</v>
      </c>
      <c r="B34" s="48">
        <f>B25*B30*(B26-B28)/(B29-B28)</f>
        <v>0</v>
      </c>
    </row>
    <row r="35" spans="1:2" ht="15.75" thickBot="1" x14ac:dyDescent="0.3">
      <c r="A35" s="71" t="s">
        <v>23</v>
      </c>
      <c r="B35" s="72">
        <f>B33+B34</f>
        <v>4525000000</v>
      </c>
    </row>
  </sheetData>
  <mergeCells count="1">
    <mergeCell ref="A4:A1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D3E7F-F5FE-4181-8D29-BD4C7EB53F46}">
  <dimension ref="A1:F25"/>
  <sheetViews>
    <sheetView workbookViewId="0">
      <selection activeCell="I17" sqref="I17"/>
    </sheetView>
  </sheetViews>
  <sheetFormatPr baseColWidth="10" defaultColWidth="11.42578125" defaultRowHeight="15" x14ac:dyDescent="0.25"/>
  <cols>
    <col min="1" max="1" width="4.85546875" style="1" customWidth="1"/>
    <col min="2" max="2" width="21.7109375" style="1" bestFit="1" customWidth="1"/>
    <col min="3" max="3" width="13.7109375" style="1" bestFit="1" customWidth="1"/>
    <col min="4" max="4" width="5.140625" style="1" bestFit="1" customWidth="1"/>
    <col min="5" max="5" width="12.85546875" style="1" bestFit="1" customWidth="1"/>
    <col min="6" max="6" width="13.7109375" style="1" bestFit="1" customWidth="1"/>
    <col min="7" max="8" width="11.42578125" style="1"/>
    <col min="9" max="9" width="22" style="1" bestFit="1" customWidth="1"/>
    <col min="10" max="16384" width="11.42578125" style="1"/>
  </cols>
  <sheetData>
    <row r="1" spans="1:6" ht="15.75" thickBot="1" x14ac:dyDescent="0.3">
      <c r="A1" s="1" t="s">
        <v>29</v>
      </c>
    </row>
    <row r="2" spans="1:6" x14ac:dyDescent="0.25">
      <c r="A2" s="36" t="s">
        <v>30</v>
      </c>
      <c r="B2" s="37" t="s">
        <v>18</v>
      </c>
      <c r="C2" s="37" t="s">
        <v>9</v>
      </c>
      <c r="D2" s="38" t="s">
        <v>5</v>
      </c>
      <c r="E2" s="39" t="s">
        <v>6</v>
      </c>
      <c r="F2" s="40">
        <v>5.5E-2</v>
      </c>
    </row>
    <row r="3" spans="1:6" x14ac:dyDescent="0.25">
      <c r="A3" s="43"/>
      <c r="B3" s="44">
        <v>45855</v>
      </c>
      <c r="C3" s="44">
        <v>45930</v>
      </c>
      <c r="D3" s="11">
        <f>C3-B3</f>
        <v>75</v>
      </c>
      <c r="E3" s="45" t="s">
        <v>7</v>
      </c>
      <c r="F3" s="46">
        <f>F2/(1-F2*D3/360)</f>
        <v>5.5637513171759745E-2</v>
      </c>
    </row>
    <row r="4" spans="1:6" x14ac:dyDescent="0.25">
      <c r="A4" s="43"/>
      <c r="B4" s="49" t="s">
        <v>22</v>
      </c>
      <c r="C4" s="50">
        <f>100/(1+F3*(C3-B3)/360)</f>
        <v>98.854166666666657</v>
      </c>
      <c r="D4" s="51"/>
      <c r="E4" s="52"/>
      <c r="F4" s="53"/>
    </row>
    <row r="5" spans="1:6" x14ac:dyDescent="0.25">
      <c r="A5" s="43"/>
      <c r="B5" s="49" t="s">
        <v>21</v>
      </c>
      <c r="C5" s="55">
        <v>1500000000</v>
      </c>
      <c r="D5" s="56"/>
      <c r="E5" s="52"/>
      <c r="F5" s="57"/>
    </row>
    <row r="6" spans="1:6" x14ac:dyDescent="0.25">
      <c r="A6" s="43"/>
      <c r="B6" s="11" t="s">
        <v>23</v>
      </c>
      <c r="C6" s="58">
        <f>C5*C4/100</f>
        <v>1482812500</v>
      </c>
      <c r="D6" s="59"/>
      <c r="E6" s="60"/>
      <c r="F6" s="53"/>
    </row>
    <row r="7" spans="1:6" x14ac:dyDescent="0.25">
      <c r="A7" s="43"/>
      <c r="B7" s="11" t="s">
        <v>25</v>
      </c>
      <c r="C7" s="61">
        <f>C5-C6</f>
        <v>17187500</v>
      </c>
      <c r="D7" s="62"/>
      <c r="E7" s="85">
        <f>C7/12</f>
        <v>1432291.6666666667</v>
      </c>
      <c r="F7" s="53">
        <f>E7*(B12-B3)/360</f>
        <v>0</v>
      </c>
    </row>
    <row r="8" spans="1:6" ht="15.75" thickBot="1" x14ac:dyDescent="0.3">
      <c r="A8" s="64"/>
      <c r="B8" s="65"/>
      <c r="C8" s="65"/>
      <c r="D8" s="65"/>
      <c r="E8" s="66"/>
      <c r="F8" s="67"/>
    </row>
    <row r="10" spans="1:6" ht="15.75" thickBot="1" x14ac:dyDescent="0.3">
      <c r="A10" s="1" t="s">
        <v>31</v>
      </c>
    </row>
    <row r="11" spans="1:6" x14ac:dyDescent="0.25">
      <c r="A11" s="36" t="s">
        <v>30</v>
      </c>
      <c r="B11" s="37" t="s">
        <v>18</v>
      </c>
      <c r="C11" s="37" t="s">
        <v>9</v>
      </c>
      <c r="D11" s="38" t="s">
        <v>5</v>
      </c>
      <c r="E11" s="39" t="s">
        <v>6</v>
      </c>
      <c r="F11" s="40">
        <v>0.05</v>
      </c>
    </row>
    <row r="12" spans="1:6" x14ac:dyDescent="0.25">
      <c r="A12" s="43"/>
      <c r="B12" s="44">
        <v>45855</v>
      </c>
      <c r="C12" s="44">
        <v>45930</v>
      </c>
      <c r="D12" s="11">
        <f>C12-B12</f>
        <v>75</v>
      </c>
      <c r="E12" s="45" t="s">
        <v>7</v>
      </c>
      <c r="F12" s="74">
        <f>F11/(1-F11*D12/360)</f>
        <v>5.0526315789473683E-2</v>
      </c>
    </row>
    <row r="13" spans="1:6" x14ac:dyDescent="0.25">
      <c r="A13" s="43"/>
      <c r="B13" s="49" t="s">
        <v>22</v>
      </c>
      <c r="C13" s="50">
        <f>100/(1+F12*(C12-B12)/360)</f>
        <v>98.958333333333329</v>
      </c>
      <c r="D13" s="51"/>
      <c r="E13" s="52"/>
      <c r="F13" s="53"/>
    </row>
    <row r="14" spans="1:6" x14ac:dyDescent="0.25">
      <c r="A14" s="43"/>
      <c r="B14" s="49" t="s">
        <v>21</v>
      </c>
      <c r="C14" s="55">
        <v>1500000000</v>
      </c>
      <c r="D14" s="56"/>
      <c r="E14" s="52"/>
      <c r="F14" s="57"/>
    </row>
    <row r="15" spans="1:6" x14ac:dyDescent="0.25">
      <c r="A15" s="43"/>
      <c r="B15" s="11" t="s">
        <v>32</v>
      </c>
      <c r="C15" s="58">
        <f>C14*C13/100</f>
        <v>1484375000</v>
      </c>
      <c r="D15" s="59"/>
      <c r="E15" s="60"/>
      <c r="F15" s="53"/>
    </row>
    <row r="16" spans="1:6" x14ac:dyDescent="0.25">
      <c r="A16" s="43"/>
      <c r="B16" s="11" t="s">
        <v>25</v>
      </c>
      <c r="C16" s="61">
        <f>C14-C15</f>
        <v>15625000</v>
      </c>
      <c r="D16" s="62"/>
      <c r="E16" s="63"/>
      <c r="F16" s="57"/>
    </row>
    <row r="17" spans="1:6" ht="15.75" thickBot="1" x14ac:dyDescent="0.3">
      <c r="A17" s="64"/>
      <c r="B17" s="65"/>
      <c r="C17" s="65"/>
      <c r="D17" s="65"/>
      <c r="E17" s="66"/>
      <c r="F17" s="67"/>
    </row>
    <row r="19" spans="1:6" x14ac:dyDescent="0.25">
      <c r="A19" s="82" t="s">
        <v>40</v>
      </c>
      <c r="B19" s="83">
        <f>C15-C6</f>
        <v>1562500</v>
      </c>
      <c r="C19" s="84">
        <f>B19-F7</f>
        <v>1562500</v>
      </c>
    </row>
    <row r="22" spans="1:6" x14ac:dyDescent="0.25">
      <c r="B22" s="49" t="s">
        <v>21</v>
      </c>
      <c r="C22" s="55">
        <v>1500000000</v>
      </c>
    </row>
    <row r="23" spans="1:6" x14ac:dyDescent="0.25">
      <c r="B23" s="11" t="s">
        <v>23</v>
      </c>
      <c r="C23" s="58">
        <v>1482812500</v>
      </c>
    </row>
    <row r="24" spans="1:6" x14ac:dyDescent="0.25">
      <c r="B24" s="11" t="s">
        <v>32</v>
      </c>
      <c r="C24" s="58">
        <v>1484375000</v>
      </c>
    </row>
    <row r="25" spans="1:6" x14ac:dyDescent="0.25">
      <c r="B25" s="11" t="s">
        <v>40</v>
      </c>
      <c r="C25" s="81">
        <v>1562500</v>
      </c>
    </row>
  </sheetData>
  <mergeCells count="2">
    <mergeCell ref="A2:A8"/>
    <mergeCell ref="A11:A1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894F1-867B-4AC1-B334-B9E81BA577DB}">
  <dimension ref="A1:S66"/>
  <sheetViews>
    <sheetView topLeftCell="A11" workbookViewId="0">
      <selection activeCell="H19" sqref="H19"/>
    </sheetView>
  </sheetViews>
  <sheetFormatPr baseColWidth="10" defaultColWidth="11.42578125" defaultRowHeight="15" x14ac:dyDescent="0.25"/>
  <cols>
    <col min="1" max="1" width="4.85546875" style="1" customWidth="1"/>
    <col min="2" max="2" width="21.7109375" style="1" bestFit="1" customWidth="1"/>
    <col min="3" max="3" width="13.7109375" style="1" bestFit="1" customWidth="1"/>
    <col min="4" max="4" width="5.140625" style="1" bestFit="1" customWidth="1"/>
    <col min="5" max="5" width="12.85546875" style="1" bestFit="1" customWidth="1"/>
    <col min="6" max="6" width="13.7109375" style="1" bestFit="1" customWidth="1"/>
    <col min="7" max="8" width="11.42578125" style="1"/>
    <col min="9" max="9" width="22" style="1" bestFit="1" customWidth="1"/>
    <col min="10" max="10" width="18.85546875" style="1" customWidth="1"/>
    <col min="11" max="11" width="12.85546875" style="1" bestFit="1" customWidth="1"/>
    <col min="12" max="12" width="11.42578125" style="1"/>
    <col min="13" max="13" width="13.7109375" style="1" bestFit="1" customWidth="1"/>
    <col min="14" max="14" width="19.7109375" style="1" customWidth="1"/>
    <col min="15" max="15" width="17" style="1" customWidth="1"/>
    <col min="16" max="16" width="12.42578125" style="1" customWidth="1"/>
    <col min="17" max="16384" width="11.42578125" style="1"/>
  </cols>
  <sheetData>
    <row r="1" spans="1:15" x14ac:dyDescent="0.25">
      <c r="A1" s="1" t="s">
        <v>0</v>
      </c>
      <c r="B1" s="2">
        <f ca="1">TODAY()</f>
        <v>45852</v>
      </c>
      <c r="I1" s="1" t="s">
        <v>1</v>
      </c>
    </row>
    <row r="2" spans="1:15" x14ac:dyDescent="0.25">
      <c r="A2" s="3"/>
      <c r="B2" s="3"/>
      <c r="C2" s="3"/>
      <c r="D2" s="3"/>
      <c r="E2" s="3"/>
      <c r="F2" s="4"/>
    </row>
    <row r="3" spans="1:15" x14ac:dyDescent="0.25">
      <c r="C3" s="3"/>
    </row>
    <row r="4" spans="1:15" x14ac:dyDescent="0.25">
      <c r="A4" s="3"/>
      <c r="B4" s="3"/>
    </row>
    <row r="5" spans="1:15" ht="15" customHeight="1" x14ac:dyDescent="0.25">
      <c r="A5" s="5" t="s">
        <v>2</v>
      </c>
      <c r="B5" s="6" t="s">
        <v>3</v>
      </c>
      <c r="C5" s="6" t="s">
        <v>4</v>
      </c>
      <c r="D5" s="7" t="s">
        <v>5</v>
      </c>
      <c r="E5" s="8" t="s">
        <v>6</v>
      </c>
      <c r="F5" s="9">
        <v>6.6000000000000003E-2</v>
      </c>
      <c r="J5" s="1" t="s">
        <v>1</v>
      </c>
      <c r="L5" s="2">
        <f>DATE(2025,7,17)</f>
        <v>45855</v>
      </c>
      <c r="N5" s="1" t="s">
        <v>1</v>
      </c>
    </row>
    <row r="6" spans="1:15" x14ac:dyDescent="0.25">
      <c r="A6" s="5"/>
      <c r="B6" s="10">
        <v>45853</v>
      </c>
      <c r="C6" s="10">
        <v>46217</v>
      </c>
      <c r="D6" s="11">
        <f>C6-B6</f>
        <v>364</v>
      </c>
      <c r="E6" s="8" t="s">
        <v>7</v>
      </c>
      <c r="F6" s="9">
        <f>F5/(1-F5*D6/360)</f>
        <v>7.0719337095506818E-2</v>
      </c>
      <c r="I6" s="1" t="s">
        <v>8</v>
      </c>
      <c r="J6" s="2">
        <v>45855</v>
      </c>
      <c r="M6" s="1" t="s">
        <v>8</v>
      </c>
      <c r="N6" s="2">
        <v>45855</v>
      </c>
    </row>
    <row r="7" spans="1:15" x14ac:dyDescent="0.25">
      <c r="A7" s="5"/>
      <c r="B7" s="10"/>
      <c r="C7" s="12">
        <f>WEEKDAY(C6,2)</f>
        <v>2</v>
      </c>
      <c r="D7" s="13"/>
      <c r="E7" s="8"/>
      <c r="I7" s="1" t="s">
        <v>9</v>
      </c>
      <c r="J7" s="2">
        <v>46951</v>
      </c>
      <c r="M7" s="1" t="s">
        <v>9</v>
      </c>
      <c r="N7" s="2">
        <v>47681</v>
      </c>
    </row>
    <row r="8" spans="1:15" x14ac:dyDescent="0.25">
      <c r="A8" s="5"/>
      <c r="B8" s="14"/>
      <c r="C8" s="15"/>
      <c r="E8" s="16"/>
      <c r="I8" s="1" t="s">
        <v>10</v>
      </c>
      <c r="J8" s="17">
        <v>0.06</v>
      </c>
      <c r="M8" s="1" t="s">
        <v>10</v>
      </c>
      <c r="N8" s="18">
        <v>5.8999999999999997E-2</v>
      </c>
    </row>
    <row r="9" spans="1:15" x14ac:dyDescent="0.25">
      <c r="A9" s="5"/>
      <c r="B9" s="19" t="s">
        <v>11</v>
      </c>
      <c r="C9" s="20">
        <f>100/(1+F6*(C6-B6)/360)</f>
        <v>93.326666666666668</v>
      </c>
      <c r="D9" s="21"/>
      <c r="E9" s="16"/>
      <c r="F9" s="22"/>
      <c r="I9" s="1" t="s">
        <v>12</v>
      </c>
      <c r="J9" s="17">
        <v>0.99</v>
      </c>
      <c r="M9" s="1" t="s">
        <v>12</v>
      </c>
      <c r="N9" s="17">
        <v>0.93200000000000005</v>
      </c>
    </row>
    <row r="10" spans="1:15" x14ac:dyDescent="0.25">
      <c r="A10" s="5"/>
      <c r="B10" s="23" t="s">
        <v>13</v>
      </c>
      <c r="C10" s="24">
        <v>1000000000</v>
      </c>
      <c r="D10" s="15"/>
      <c r="E10" s="16"/>
      <c r="I10" s="1" t="s">
        <v>14</v>
      </c>
      <c r="J10" s="18">
        <f>YIELD(J6,J7,J8,J9*100,100,1,1)</f>
        <v>6.3767202150820268E-2</v>
      </c>
      <c r="M10" s="1" t="s">
        <v>14</v>
      </c>
      <c r="N10" s="18">
        <f>YIELDMAT(DATE(2025,7,17),DATE(2030,7,17),DATE(2025,7,16),N8,N9*100,1)</f>
        <v>7.7875497781250039E-2</v>
      </c>
      <c r="O10" s="18">
        <f>YIELD(N6,N7,N8,N9*100,100,1,1)</f>
        <v>7.5844942586602543E-2</v>
      </c>
    </row>
    <row r="11" spans="1:15" x14ac:dyDescent="0.25">
      <c r="A11" s="5"/>
      <c r="B11" s="11" t="s">
        <v>15</v>
      </c>
      <c r="C11" s="25">
        <f>C10*C9/100</f>
        <v>933266666.66666675</v>
      </c>
      <c r="D11" s="26"/>
      <c r="E11" s="27"/>
      <c r="F11" s="22"/>
    </row>
    <row r="12" spans="1:15" x14ac:dyDescent="0.25">
      <c r="A12" s="5"/>
      <c r="B12" s="11" t="s">
        <v>16</v>
      </c>
      <c r="C12" s="25">
        <f>C10-C11</f>
        <v>66733333.333333254</v>
      </c>
      <c r="E12" s="28"/>
    </row>
    <row r="13" spans="1:15" x14ac:dyDescent="0.25">
      <c r="A13" s="5"/>
      <c r="E13" s="29"/>
    </row>
    <row r="14" spans="1:15" x14ac:dyDescent="0.25">
      <c r="A14" s="5"/>
      <c r="C14" s="25">
        <f>C10*(1-F5*D6/360)</f>
        <v>933266666.66666675</v>
      </c>
      <c r="D14" s="25"/>
      <c r="E14" s="28"/>
    </row>
    <row r="15" spans="1:15" x14ac:dyDescent="0.25">
      <c r="A15" s="5"/>
      <c r="B15" s="30"/>
      <c r="C15" s="31">
        <f>C10-C14</f>
        <v>66733333.333333254</v>
      </c>
      <c r="D15" s="30"/>
      <c r="E15" s="32"/>
      <c r="F15" s="33"/>
    </row>
    <row r="16" spans="1:15" x14ac:dyDescent="0.25">
      <c r="A16" s="34"/>
      <c r="C16" s="35"/>
      <c r="E16" s="28"/>
    </row>
    <row r="19" spans="1:10" ht="15.75" thickBot="1" x14ac:dyDescent="0.3"/>
    <row r="20" spans="1:10" x14ac:dyDescent="0.25">
      <c r="A20" s="36" t="s">
        <v>17</v>
      </c>
      <c r="B20" s="37" t="s">
        <v>18</v>
      </c>
      <c r="C20" s="37" t="s">
        <v>9</v>
      </c>
      <c r="D20" s="38" t="s">
        <v>5</v>
      </c>
      <c r="E20" s="39" t="s">
        <v>6</v>
      </c>
      <c r="F20" s="40">
        <v>6.6500000000000004E-2</v>
      </c>
      <c r="I20" s="41" t="s">
        <v>19</v>
      </c>
      <c r="J20" s="42" t="s">
        <v>20</v>
      </c>
    </row>
    <row r="21" spans="1:10" x14ac:dyDescent="0.25">
      <c r="A21" s="43"/>
      <c r="B21" s="44">
        <v>45842</v>
      </c>
      <c r="C21" s="44">
        <v>46206</v>
      </c>
      <c r="D21" s="11">
        <f>C21-B21</f>
        <v>364</v>
      </c>
      <c r="E21" s="45" t="s">
        <v>7</v>
      </c>
      <c r="F21" s="46">
        <f>F20/(1-F20*D21/360)</f>
        <v>7.1293709834005375E-2</v>
      </c>
      <c r="I21" s="47" t="s">
        <v>21</v>
      </c>
      <c r="J21" s="48">
        <v>5000000000</v>
      </c>
    </row>
    <row r="22" spans="1:10" x14ac:dyDescent="0.25">
      <c r="A22" s="43"/>
      <c r="B22" s="49" t="s">
        <v>22</v>
      </c>
      <c r="C22" s="50">
        <f>100/(1+F21*(C21-B21)/360)</f>
        <v>93.276111111111121</v>
      </c>
      <c r="D22" s="51"/>
      <c r="E22" s="52"/>
      <c r="F22" s="53"/>
      <c r="I22" s="47" t="s">
        <v>8</v>
      </c>
      <c r="J22" s="54">
        <v>45741</v>
      </c>
    </row>
    <row r="23" spans="1:10" x14ac:dyDescent="0.25">
      <c r="A23" s="43"/>
      <c r="B23" s="49" t="s">
        <v>21</v>
      </c>
      <c r="C23" s="55">
        <v>1000000000</v>
      </c>
      <c r="D23" s="56"/>
      <c r="E23" s="52"/>
      <c r="F23" s="57"/>
      <c r="I23" s="47" t="s">
        <v>9</v>
      </c>
      <c r="J23" s="54">
        <v>46837</v>
      </c>
    </row>
    <row r="24" spans="1:10" x14ac:dyDescent="0.25">
      <c r="A24" s="43"/>
      <c r="B24" s="11" t="s">
        <v>23</v>
      </c>
      <c r="C24" s="58">
        <f>C23*C22/100</f>
        <v>932761111.11111116</v>
      </c>
      <c r="D24" s="59"/>
      <c r="E24" s="60"/>
      <c r="F24" s="53"/>
      <c r="I24" s="47" t="s">
        <v>24</v>
      </c>
      <c r="J24" s="54">
        <v>45741</v>
      </c>
    </row>
    <row r="25" spans="1:10" x14ac:dyDescent="0.25">
      <c r="A25" s="43"/>
      <c r="B25" s="11" t="s">
        <v>25</v>
      </c>
      <c r="C25" s="61">
        <f>C23-C24</f>
        <v>67238888.888888836</v>
      </c>
      <c r="D25" s="62"/>
      <c r="E25" s="63"/>
      <c r="F25" s="57"/>
      <c r="I25" s="47" t="s">
        <v>26</v>
      </c>
      <c r="J25" s="54">
        <f>J24+365</f>
        <v>46106</v>
      </c>
    </row>
    <row r="26" spans="1:10" ht="15.75" thickBot="1" x14ac:dyDescent="0.3">
      <c r="A26" s="64"/>
      <c r="B26" s="65"/>
      <c r="C26" s="65"/>
      <c r="D26" s="65"/>
      <c r="E26" s="66"/>
      <c r="F26" s="67"/>
      <c r="I26" s="47" t="s">
        <v>10</v>
      </c>
      <c r="J26" s="68">
        <v>6.25E-2</v>
      </c>
    </row>
    <row r="27" spans="1:10" x14ac:dyDescent="0.25">
      <c r="I27" s="47" t="s">
        <v>12</v>
      </c>
      <c r="J27" s="69">
        <v>0.90500000000000003</v>
      </c>
    </row>
    <row r="28" spans="1:10" x14ac:dyDescent="0.25">
      <c r="I28" s="47" t="s">
        <v>14</v>
      </c>
      <c r="J28" s="70">
        <f>YIELD(J22,J23,J26,J27*100,100,1,1)</f>
        <v>0.10075145404936756</v>
      </c>
    </row>
    <row r="29" spans="1:10" x14ac:dyDescent="0.25">
      <c r="I29" s="47" t="s">
        <v>27</v>
      </c>
      <c r="J29" s="48">
        <f>J27*J21</f>
        <v>4525000000</v>
      </c>
    </row>
    <row r="30" spans="1:10" x14ac:dyDescent="0.25">
      <c r="I30" s="47" t="s">
        <v>28</v>
      </c>
      <c r="J30" s="48">
        <f>J21*J26*(J22-J24)/(J25-J24)</f>
        <v>0</v>
      </c>
    </row>
    <row r="31" spans="1:10" ht="15.75" thickBot="1" x14ac:dyDescent="0.3">
      <c r="I31" s="71" t="s">
        <v>23</v>
      </c>
      <c r="J31" s="72">
        <f>J29+J30</f>
        <v>4525000000</v>
      </c>
    </row>
    <row r="33" spans="1:6" ht="15.75" thickBot="1" x14ac:dyDescent="0.3">
      <c r="A33" s="1" t="s">
        <v>29</v>
      </c>
    </row>
    <row r="34" spans="1:6" x14ac:dyDescent="0.25">
      <c r="A34" s="36" t="s">
        <v>30</v>
      </c>
      <c r="B34" s="37" t="s">
        <v>18</v>
      </c>
      <c r="C34" s="37" t="s">
        <v>9</v>
      </c>
      <c r="D34" s="38" t="s">
        <v>5</v>
      </c>
      <c r="E34" s="39" t="s">
        <v>6</v>
      </c>
      <c r="F34" s="40">
        <v>5.5E-2</v>
      </c>
    </row>
    <row r="35" spans="1:6" x14ac:dyDescent="0.25">
      <c r="A35" s="43"/>
      <c r="B35" s="44">
        <v>45855</v>
      </c>
      <c r="C35" s="44">
        <v>45930</v>
      </c>
      <c r="D35" s="11">
        <f>C35-B35</f>
        <v>75</v>
      </c>
      <c r="E35" s="45" t="s">
        <v>7</v>
      </c>
      <c r="F35" s="46">
        <f>F34/(1-F34*D35/360)</f>
        <v>5.5637513171759745E-2</v>
      </c>
    </row>
    <row r="36" spans="1:6" x14ac:dyDescent="0.25">
      <c r="A36" s="43"/>
      <c r="B36" s="49" t="s">
        <v>22</v>
      </c>
      <c r="C36" s="50">
        <f>100/(1+F35*(C35-B35)/360)</f>
        <v>98.854166666666657</v>
      </c>
      <c r="D36" s="51"/>
      <c r="E36" s="52"/>
      <c r="F36" s="53"/>
    </row>
    <row r="37" spans="1:6" x14ac:dyDescent="0.25">
      <c r="A37" s="43"/>
      <c r="B37" s="49" t="s">
        <v>21</v>
      </c>
      <c r="C37" s="55">
        <v>1500000000</v>
      </c>
      <c r="D37" s="56"/>
      <c r="E37" s="52"/>
      <c r="F37" s="57"/>
    </row>
    <row r="38" spans="1:6" x14ac:dyDescent="0.25">
      <c r="A38" s="43"/>
      <c r="B38" s="11" t="s">
        <v>23</v>
      </c>
      <c r="C38" s="58">
        <f>C37*C36/100</f>
        <v>1482812500</v>
      </c>
      <c r="D38" s="59"/>
      <c r="E38" s="60"/>
      <c r="F38" s="53"/>
    </row>
    <row r="39" spans="1:6" x14ac:dyDescent="0.25">
      <c r="A39" s="43"/>
      <c r="B39" s="11" t="s">
        <v>25</v>
      </c>
      <c r="C39" s="61">
        <f>C37-C38</f>
        <v>17187500</v>
      </c>
      <c r="D39" s="62"/>
      <c r="E39" s="73">
        <f>C39/12</f>
        <v>1432291.6666666667</v>
      </c>
      <c r="F39" s="53">
        <f>E39*(B44-B35)/360</f>
        <v>0</v>
      </c>
    </row>
    <row r="40" spans="1:6" ht="15.75" thickBot="1" x14ac:dyDescent="0.3">
      <c r="A40" s="64"/>
      <c r="B40" s="65"/>
      <c r="C40" s="65"/>
      <c r="D40" s="65"/>
      <c r="E40" s="66"/>
      <c r="F40" s="67"/>
    </row>
    <row r="42" spans="1:6" ht="15.75" thickBot="1" x14ac:dyDescent="0.3">
      <c r="A42" s="1" t="s">
        <v>31</v>
      </c>
    </row>
    <row r="43" spans="1:6" x14ac:dyDescent="0.25">
      <c r="A43" s="36" t="s">
        <v>30</v>
      </c>
      <c r="B43" s="37" t="s">
        <v>18</v>
      </c>
      <c r="C43" s="37" t="s">
        <v>9</v>
      </c>
      <c r="D43" s="38" t="s">
        <v>5</v>
      </c>
      <c r="E43" s="39" t="s">
        <v>6</v>
      </c>
      <c r="F43" s="40">
        <v>0.05</v>
      </c>
    </row>
    <row r="44" spans="1:6" x14ac:dyDescent="0.25">
      <c r="A44" s="43"/>
      <c r="B44" s="44">
        <v>45855</v>
      </c>
      <c r="C44" s="44">
        <v>45930</v>
      </c>
      <c r="D44" s="11">
        <f>C44-B44</f>
        <v>75</v>
      </c>
      <c r="E44" s="45" t="s">
        <v>7</v>
      </c>
      <c r="F44" s="74">
        <f>F43/(1-F43*D44/360)</f>
        <v>5.0526315789473683E-2</v>
      </c>
    </row>
    <row r="45" spans="1:6" x14ac:dyDescent="0.25">
      <c r="A45" s="43"/>
      <c r="B45" s="49" t="s">
        <v>22</v>
      </c>
      <c r="C45" s="50">
        <f>100/(1+F44*(C44-B44)/360)</f>
        <v>98.958333333333329</v>
      </c>
      <c r="D45" s="51"/>
      <c r="E45" s="52"/>
      <c r="F45" s="53"/>
    </row>
    <row r="46" spans="1:6" x14ac:dyDescent="0.25">
      <c r="A46" s="43"/>
      <c r="B46" s="49" t="s">
        <v>21</v>
      </c>
      <c r="C46" s="55">
        <v>1500000000</v>
      </c>
      <c r="D46" s="56"/>
      <c r="E46" s="52"/>
      <c r="F46" s="57"/>
    </row>
    <row r="47" spans="1:6" x14ac:dyDescent="0.25">
      <c r="A47" s="43"/>
      <c r="B47" s="11" t="s">
        <v>32</v>
      </c>
      <c r="C47" s="58">
        <f>C46*C45/100</f>
        <v>1484375000</v>
      </c>
      <c r="D47" s="59"/>
      <c r="E47" s="60"/>
      <c r="F47" s="53"/>
    </row>
    <row r="48" spans="1:6" x14ac:dyDescent="0.25">
      <c r="A48" s="43"/>
      <c r="B48" s="11" t="s">
        <v>25</v>
      </c>
      <c r="C48" s="61">
        <f>C46-C47</f>
        <v>15625000</v>
      </c>
      <c r="D48" s="62"/>
      <c r="E48" s="63"/>
      <c r="F48" s="57"/>
    </row>
    <row r="49" spans="1:19" ht="15.75" thickBot="1" x14ac:dyDescent="0.3">
      <c r="A49" s="64"/>
      <c r="B49" s="65"/>
      <c r="C49" s="65"/>
      <c r="D49" s="65"/>
      <c r="E49" s="66"/>
      <c r="F49" s="67"/>
    </row>
    <row r="50" spans="1:19" x14ac:dyDescent="0.25">
      <c r="K50" s="75" t="s">
        <v>33</v>
      </c>
      <c r="L50" s="75" t="s">
        <v>34</v>
      </c>
      <c r="M50" s="75" t="s">
        <v>35</v>
      </c>
      <c r="N50" s="75" t="s">
        <v>36</v>
      </c>
      <c r="O50" s="75" t="s">
        <v>37</v>
      </c>
      <c r="P50" s="75" t="s">
        <v>38</v>
      </c>
      <c r="S50" s="76" t="s">
        <v>39</v>
      </c>
    </row>
    <row r="51" spans="1:19" x14ac:dyDescent="0.25">
      <c r="A51" s="1" t="s">
        <v>40</v>
      </c>
      <c r="B51" s="22">
        <f>C47-C38</f>
        <v>1562500</v>
      </c>
      <c r="C51" s="22">
        <f>B51-F39</f>
        <v>1562500</v>
      </c>
      <c r="K51" s="75" t="s">
        <v>41</v>
      </c>
      <c r="L51" s="77">
        <v>48294</v>
      </c>
      <c r="M51" s="78">
        <v>0.06</v>
      </c>
      <c r="N51" s="79">
        <v>5000000000</v>
      </c>
      <c r="O51" s="78">
        <v>0.93799999999999994</v>
      </c>
      <c r="P51" s="80">
        <f>YIELD("17/07/2025",L51,M51,O51*100,100,1,1)</f>
        <v>7.1929673535828298E-2</v>
      </c>
      <c r="S51" s="77">
        <v>45737</v>
      </c>
    </row>
    <row r="52" spans="1:19" x14ac:dyDescent="0.25">
      <c r="K52" s="75" t="s">
        <v>42</v>
      </c>
      <c r="L52" s="77">
        <v>48248</v>
      </c>
      <c r="M52" s="80">
        <v>5.2999999999999999E-2</v>
      </c>
      <c r="N52" s="79">
        <v>10000000000</v>
      </c>
      <c r="O52" s="78">
        <v>0.96</v>
      </c>
      <c r="P52" s="80">
        <f t="shared" ref="P52:P54" si="0">YIELD("17/07/2025",L52,M52,O52*100,100,1,1)</f>
        <v>6.0501214266398193E-2</v>
      </c>
      <c r="S52" s="77">
        <v>44596</v>
      </c>
    </row>
    <row r="53" spans="1:19" x14ac:dyDescent="0.25">
      <c r="K53" s="75" t="s">
        <v>43</v>
      </c>
      <c r="L53" s="77">
        <v>49072</v>
      </c>
      <c r="M53" s="80">
        <v>6.25E-2</v>
      </c>
      <c r="N53" s="79">
        <v>10000000000</v>
      </c>
      <c r="O53" s="78">
        <v>0.93500000000000005</v>
      </c>
      <c r="P53" s="80">
        <f t="shared" si="0"/>
        <v>7.2695829673115581E-2</v>
      </c>
      <c r="S53" s="77">
        <v>45420</v>
      </c>
    </row>
    <row r="54" spans="1:19" x14ac:dyDescent="0.25">
      <c r="B54" s="49" t="s">
        <v>21</v>
      </c>
      <c r="C54" s="55">
        <v>1500000000</v>
      </c>
      <c r="K54" s="75" t="s">
        <v>44</v>
      </c>
      <c r="L54" s="77">
        <v>48167</v>
      </c>
      <c r="M54" s="80">
        <v>0.06</v>
      </c>
      <c r="N54" s="79">
        <v>2000000000</v>
      </c>
      <c r="O54" s="78">
        <v>0.94499999999999995</v>
      </c>
      <c r="P54" s="80">
        <f t="shared" si="0"/>
        <v>7.0992440594630515E-2</v>
      </c>
      <c r="S54" s="77">
        <v>45611</v>
      </c>
    </row>
    <row r="55" spans="1:19" x14ac:dyDescent="0.25">
      <c r="B55" s="11" t="s">
        <v>23</v>
      </c>
      <c r="C55" s="58">
        <v>1482812500</v>
      </c>
    </row>
    <row r="56" spans="1:19" x14ac:dyDescent="0.25">
      <c r="B56" s="11" t="s">
        <v>32</v>
      </c>
      <c r="C56" s="58">
        <v>1484375000</v>
      </c>
    </row>
    <row r="57" spans="1:19" x14ac:dyDescent="0.25">
      <c r="B57" s="11" t="s">
        <v>40</v>
      </c>
      <c r="C57" s="81">
        <v>1562500</v>
      </c>
      <c r="K57" s="75" t="s">
        <v>33</v>
      </c>
      <c r="L57" s="75" t="s">
        <v>34</v>
      </c>
      <c r="M57" s="75" t="s">
        <v>35</v>
      </c>
      <c r="N57" s="75" t="s">
        <v>36</v>
      </c>
      <c r="O57" s="75" t="s">
        <v>37</v>
      </c>
      <c r="P57" s="75" t="s">
        <v>38</v>
      </c>
      <c r="S57" s="76" t="s">
        <v>39</v>
      </c>
    </row>
    <row r="58" spans="1:19" x14ac:dyDescent="0.25">
      <c r="K58" s="75" t="s">
        <v>41</v>
      </c>
      <c r="L58" s="77">
        <v>48294</v>
      </c>
      <c r="M58" s="78">
        <v>0.06</v>
      </c>
      <c r="N58" s="79">
        <v>5000000000</v>
      </c>
      <c r="O58" s="78">
        <v>0.93700000000000006</v>
      </c>
      <c r="P58" s="80">
        <f>YIELD("17/07/2025",L58,M58,O58*100,100,1,1)</f>
        <v>7.2131456732477076E-2</v>
      </c>
      <c r="S58" s="77">
        <v>45737</v>
      </c>
    </row>
    <row r="59" spans="1:19" x14ac:dyDescent="0.25">
      <c r="K59" s="75" t="s">
        <v>44</v>
      </c>
      <c r="L59" s="77">
        <v>48167</v>
      </c>
      <c r="M59" s="80">
        <v>0.06</v>
      </c>
      <c r="N59" s="79">
        <v>2000000000</v>
      </c>
      <c r="O59" s="78">
        <v>0.94199999999999995</v>
      </c>
      <c r="P59" s="80">
        <f t="shared" ref="P59" si="1">YIELD("17/07/2025",L59,M59,O59*100,100,1,1)</f>
        <v>7.1619662604113982E-2</v>
      </c>
      <c r="S59" s="77">
        <v>45611</v>
      </c>
    </row>
    <row r="62" spans="1:19" x14ac:dyDescent="0.25">
      <c r="K62" s="75" t="s">
        <v>33</v>
      </c>
      <c r="L62" s="75" t="s">
        <v>37</v>
      </c>
      <c r="M62" s="75" t="s">
        <v>38</v>
      </c>
      <c r="N62" s="75" t="s">
        <v>45</v>
      </c>
      <c r="O62" s="75" t="s">
        <v>46</v>
      </c>
    </row>
    <row r="63" spans="1:19" x14ac:dyDescent="0.25">
      <c r="K63" s="75" t="s">
        <v>41</v>
      </c>
      <c r="L63" s="78">
        <v>0.93799999999999994</v>
      </c>
      <c r="M63" s="80">
        <v>7.1929673535828298E-2</v>
      </c>
      <c r="N63" s="79"/>
      <c r="O63" s="79"/>
    </row>
    <row r="64" spans="1:19" x14ac:dyDescent="0.25">
      <c r="K64" s="75" t="s">
        <v>42</v>
      </c>
      <c r="L64" s="78">
        <v>0.96</v>
      </c>
      <c r="M64" s="80">
        <v>6.0501214266398193E-2</v>
      </c>
      <c r="N64" s="79"/>
      <c r="O64" s="79"/>
    </row>
    <row r="65" spans="11:15" x14ac:dyDescent="0.25">
      <c r="K65" s="75" t="s">
        <v>43</v>
      </c>
      <c r="L65" s="78">
        <v>0.93500000000000005</v>
      </c>
      <c r="M65" s="80">
        <v>7.2695829673115581E-2</v>
      </c>
      <c r="N65" s="79"/>
      <c r="O65" s="79"/>
    </row>
    <row r="66" spans="11:15" x14ac:dyDescent="0.25">
      <c r="K66" s="75" t="s">
        <v>44</v>
      </c>
      <c r="L66" s="78">
        <v>0.94499999999999995</v>
      </c>
      <c r="M66" s="80">
        <v>7.0992440594630515E-2</v>
      </c>
      <c r="N66" s="79"/>
      <c r="O66" s="79"/>
    </row>
  </sheetData>
  <mergeCells count="4">
    <mergeCell ref="A5:A15"/>
    <mergeCell ref="A20:A26"/>
    <mergeCell ref="A34:A40"/>
    <mergeCell ref="A43:A49"/>
  </mergeCells>
  <conditionalFormatting sqref="J49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Illustration P 12 &amp; 13</vt:lpstr>
      <vt:lpstr>Relation Prix-YTM P14</vt:lpstr>
      <vt:lpstr>CAS PRATIQUE PRIMAIRE</vt:lpstr>
      <vt:lpstr>CAS PRATIQUE SECONDAIRE</vt:lpstr>
      <vt:lpstr>CI DU 23042024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Boris</cp:lastModifiedBy>
  <dcterms:created xsi:type="dcterms:W3CDTF">2025-07-14T23:08:32Z</dcterms:created>
  <dcterms:modified xsi:type="dcterms:W3CDTF">2025-07-14T23:45:13Z</dcterms:modified>
</cp:coreProperties>
</file>